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"/>
    </mc:Choice>
  </mc:AlternateContent>
  <xr:revisionPtr revIDLastSave="0" documentId="13_ncr:1_{43DA9907-3ADB-4368-8136-AC5DCFF5D580}" xr6:coauthVersionLast="44" xr6:coauthVersionMax="44" xr10:uidLastSave="{00000000-0000-0000-0000-000000000000}"/>
  <bookViews>
    <workbookView xWindow="1095" yWindow="1095" windowWidth="15375" windowHeight="7455" activeTab="4" xr2:uid="{00000000-000D-0000-FFFF-FFFF00000000}"/>
  </bookViews>
  <sheets>
    <sheet name="Fuels" sheetId="3" r:id="rId1"/>
    <sheet name="Standards" sheetId="1" r:id="rId2"/>
    <sheet name="Tier 1" sheetId="4" r:id="rId3"/>
    <sheet name="Tier 2" sheetId="5" r:id="rId4"/>
    <sheet name="Tier3" sheetId="6" r:id="rId5"/>
    <sheet name="Graphs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6" l="1"/>
  <c r="A2" i="6"/>
  <c r="A1" i="6"/>
  <c r="E34" i="5" l="1"/>
  <c r="F33" i="5"/>
  <c r="F34" i="5"/>
  <c r="G26" i="5"/>
  <c r="A26" i="5"/>
  <c r="A27" i="5"/>
  <c r="C27" i="5"/>
  <c r="G27" i="5" s="1"/>
  <c r="D34" i="5"/>
  <c r="D33" i="5"/>
  <c r="F31" i="5"/>
  <c r="E31" i="5"/>
  <c r="F30" i="5"/>
  <c r="E30" i="5"/>
  <c r="B20" i="5"/>
  <c r="E15" i="5"/>
  <c r="G15" i="5" s="1"/>
  <c r="H15" i="5" s="1"/>
  <c r="B15" i="5"/>
  <c r="E14" i="5"/>
  <c r="B14" i="5"/>
  <c r="E13" i="5"/>
  <c r="G13" i="5" s="1"/>
  <c r="H13" i="5" s="1"/>
  <c r="B13" i="5"/>
  <c r="B16" i="5" s="1"/>
  <c r="B17" i="5" s="1"/>
  <c r="E41" i="1"/>
  <c r="D34" i="4"/>
  <c r="D33" i="4"/>
  <c r="F31" i="4"/>
  <c r="F34" i="4" s="1"/>
  <c r="E31" i="4"/>
  <c r="E34" i="4" s="1"/>
  <c r="F30" i="4"/>
  <c r="F33" i="4" s="1"/>
  <c r="E30" i="4"/>
  <c r="E33" i="4" s="1"/>
  <c r="C27" i="4"/>
  <c r="G27" i="4" s="1"/>
  <c r="A35" i="4" s="1"/>
  <c r="N26" i="4"/>
  <c r="M27" i="4" s="1"/>
  <c r="N27" i="4" s="1"/>
  <c r="G26" i="4" s="1"/>
  <c r="C26" i="4"/>
  <c r="B20" i="4"/>
  <c r="E15" i="4"/>
  <c r="G15" i="4" s="1"/>
  <c r="H15" i="4" s="1"/>
  <c r="B15" i="4"/>
  <c r="E14" i="4"/>
  <c r="B14" i="4"/>
  <c r="A34" i="4" s="1"/>
  <c r="E13" i="4"/>
  <c r="G13" i="4" s="1"/>
  <c r="H13" i="4" s="1"/>
  <c r="B13" i="4"/>
  <c r="H16" i="5" l="1"/>
  <c r="A34" i="5"/>
  <c r="D36" i="5" s="1"/>
  <c r="A35" i="5"/>
  <c r="D37" i="5" s="1"/>
  <c r="E37" i="5"/>
  <c r="G14" i="5"/>
  <c r="H14" i="5" s="1"/>
  <c r="B23" i="5"/>
  <c r="B24" i="5" s="1"/>
  <c r="E37" i="4"/>
  <c r="B23" i="4"/>
  <c r="B24" i="4" s="1"/>
  <c r="F36" i="4"/>
  <c r="F37" i="4"/>
  <c r="D36" i="4"/>
  <c r="D37" i="4"/>
  <c r="A36" i="4"/>
  <c r="E36" i="4"/>
  <c r="E39" i="4" s="1"/>
  <c r="G14" i="4"/>
  <c r="H14" i="4" s="1"/>
  <c r="H16" i="4" s="1"/>
  <c r="B16" i="4"/>
  <c r="B17" i="4" s="1"/>
  <c r="E36" i="5" l="1"/>
  <c r="E39" i="5" s="1"/>
  <c r="F37" i="5"/>
  <c r="D39" i="5"/>
  <c r="F36" i="5"/>
  <c r="A36" i="5"/>
  <c r="D39" i="4"/>
  <c r="F39" i="4"/>
  <c r="F39" i="5" l="1"/>
  <c r="B15" i="1"/>
  <c r="F36" i="1"/>
  <c r="E36" i="1"/>
  <c r="E37" i="1" s="1"/>
  <c r="E3" i="3"/>
  <c r="E2" i="3"/>
  <c r="B27" i="1"/>
  <c r="E27" i="1" s="1"/>
  <c r="B4" i="3"/>
  <c r="D4" i="3" s="1"/>
  <c r="D3" i="3"/>
  <c r="D2" i="3"/>
  <c r="B20" i="1"/>
  <c r="E15" i="1"/>
  <c r="G15" i="1" s="1"/>
  <c r="H15" i="1" s="1"/>
  <c r="E14" i="1"/>
  <c r="G14" i="1" s="1"/>
  <c r="H14" i="1" s="1"/>
  <c r="E13" i="1"/>
  <c r="G13" i="1" s="1"/>
  <c r="H13" i="1" s="1"/>
  <c r="H16" i="1" s="1"/>
  <c r="F37" i="1"/>
  <c r="B14" i="1"/>
  <c r="B34" i="1" s="1"/>
  <c r="E35" i="1" s="1"/>
  <c r="B13" i="1"/>
  <c r="E38" i="1" l="1"/>
  <c r="B23" i="1"/>
  <c r="B36" i="1"/>
  <c r="C34" i="1"/>
  <c r="F35" i="1" l="1"/>
  <c r="C36" i="1"/>
  <c r="B24" i="1"/>
  <c r="B48" i="1"/>
  <c r="B59" i="1" s="1"/>
  <c r="B49" i="1"/>
  <c r="B60" i="1"/>
  <c r="B16" i="1"/>
  <c r="C37" i="1" l="1"/>
  <c r="F38" i="1"/>
  <c r="F39" i="1" s="1"/>
  <c r="B50" i="1"/>
  <c r="B61" i="1"/>
  <c r="B62" i="1" s="1"/>
  <c r="B64" i="1" s="1"/>
  <c r="B37" i="1"/>
  <c r="M27" i="2"/>
  <c r="B17" i="1"/>
  <c r="B53" i="1" l="1"/>
  <c r="B51" i="1"/>
</calcChain>
</file>

<file path=xl/sharedStrings.xml><?xml version="1.0" encoding="utf-8"?>
<sst xmlns="http://schemas.openxmlformats.org/spreadsheetml/2006/main" count="192" uniqueCount="74">
  <si>
    <t>One-way trip</t>
  </si>
  <si>
    <r>
      <t>i)</t>
    </r>
    <r>
      <rPr>
        <sz val="18"/>
        <color rgb="FF000000"/>
        <rFont val="Calibri"/>
        <family val="2"/>
        <scheme val="minor"/>
      </rPr>
      <t>Conventional technology</t>
    </r>
  </si>
  <si>
    <r>
      <t>ii)</t>
    </r>
    <r>
      <rPr>
        <sz val="18"/>
        <color rgb="FF000000"/>
        <rFont val="Calibri"/>
        <family val="2"/>
        <scheme val="minor"/>
      </rPr>
      <t>Electric based technology</t>
    </r>
  </si>
  <si>
    <r>
      <t>iii)</t>
    </r>
    <r>
      <rPr>
        <sz val="18"/>
        <color rgb="FF000000"/>
        <rFont val="Calibri"/>
        <family val="2"/>
        <scheme val="minor"/>
      </rPr>
      <t>Hydrogen based technology</t>
    </r>
  </si>
  <si>
    <t>walk</t>
  </si>
  <si>
    <t>bus</t>
  </si>
  <si>
    <t>car</t>
  </si>
  <si>
    <t>Commuting people</t>
  </si>
  <si>
    <t>km</t>
  </si>
  <si>
    <t>5 day round-trip</t>
  </si>
  <si>
    <t>Car</t>
  </si>
  <si>
    <t>EEA Tier 1</t>
  </si>
  <si>
    <t>g/km</t>
  </si>
  <si>
    <t>MJ/km</t>
  </si>
  <si>
    <t>MJ/pkm</t>
  </si>
  <si>
    <t>Lugares</t>
  </si>
  <si>
    <t>50% occupancy</t>
  </si>
  <si>
    <t>only the driver</t>
  </si>
  <si>
    <t>Walk</t>
  </si>
  <si>
    <t>Active/soft</t>
  </si>
  <si>
    <t>Travel to work by transport mode (km basis)</t>
  </si>
  <si>
    <t>48 weeks a year</t>
  </si>
  <si>
    <t xml:space="preserve">Final energy </t>
  </si>
  <si>
    <t>MJ/year</t>
  </si>
  <si>
    <t>g/MJ</t>
  </si>
  <si>
    <t>ton/year</t>
  </si>
  <si>
    <t>Exercise 3</t>
  </si>
  <si>
    <r>
      <t>Weekday:  2</t>
    </r>
    <r>
      <rPr>
        <sz val="18"/>
        <color rgb="FF000000"/>
        <rFont val="Calibri"/>
        <family val="2"/>
        <scheme val="minor"/>
      </rPr>
      <t>0% walk 2 km; 20% bus 2 km; 60% car 2 km</t>
    </r>
  </si>
  <si>
    <t>g/pkm</t>
  </si>
  <si>
    <t>Bus</t>
  </si>
  <si>
    <t>Diesel</t>
  </si>
  <si>
    <t>Gasoline</t>
  </si>
  <si>
    <t>kg/L</t>
  </si>
  <si>
    <t>MJ/kg (LHV)</t>
  </si>
  <si>
    <t>MJ/L</t>
  </si>
  <si>
    <t>Hydrogen compressed 700 bar</t>
  </si>
  <si>
    <t>biogenic final energy</t>
  </si>
  <si>
    <t>CO2</t>
  </si>
  <si>
    <t>week</t>
  </si>
  <si>
    <t>year</t>
  </si>
  <si>
    <t>gCO2/gfuel</t>
  </si>
  <si>
    <t>gNOx/kgfuel</t>
  </si>
  <si>
    <t>gPM/kgfuel</t>
  </si>
  <si>
    <t>Commuting distance</t>
  </si>
  <si>
    <t>NOx</t>
  </si>
  <si>
    <t>PM</t>
  </si>
  <si>
    <t xml:space="preserve"> (MJ/pkm) carris sust.report</t>
  </si>
  <si>
    <t xml:space="preserve">Car </t>
  </si>
  <si>
    <t>(L/100km) most sold vehicle</t>
  </si>
  <si>
    <t>Total (Ton/year)</t>
  </si>
  <si>
    <t>Total (MJ/year)</t>
  </si>
  <si>
    <t># people</t>
  </si>
  <si>
    <t>CO2g/MJ</t>
  </si>
  <si>
    <t>Ton CO2</t>
  </si>
  <si>
    <t xml:space="preserve">NOx </t>
  </si>
  <si>
    <t>g/kWh</t>
  </si>
  <si>
    <t>Ton/year</t>
  </si>
  <si>
    <t>gCO2/year</t>
  </si>
  <si>
    <t>pkm week</t>
  </si>
  <si>
    <t>pkmyear</t>
  </si>
  <si>
    <t>x</t>
  </si>
  <si>
    <t>Weight correction for the bus</t>
  </si>
  <si>
    <t>effic tank-motor out</t>
  </si>
  <si>
    <t>engine</t>
  </si>
  <si>
    <t>% efic</t>
  </si>
  <si>
    <t>Exercise 4</t>
  </si>
  <si>
    <t>EEA Tier 2</t>
  </si>
  <si>
    <t>gNOx/km</t>
  </si>
  <si>
    <t>gNOx/pkm</t>
  </si>
  <si>
    <t>gPM/pkm</t>
  </si>
  <si>
    <t>MJ</t>
  </si>
  <si>
    <t>people</t>
  </si>
  <si>
    <t>bus community 10 people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</si>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</sst>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indent="4" readingOrder="1"/>
    </xf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Fill="1"/>
    <xf numFmtId="0" fontId="0" fillId="4" borderId="0" xfId="0" applyFill="1"/>
    <xf numFmtId="0" fontId="0" fillId="3" borderId="0" xfId="0" applyFont="1" applyFill="1"/>
    <xf numFmtId="0" fontId="1" fillId="4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5" borderId="0" xfId="0" applyFill="1"/>
    <xf numFmtId="0" fontId="0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Standards!$G$13:$G$15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E-4166-92CE-F3609C026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(Standards!$D$33,Standards!$D$37)</c:f>
              <c:strCache>
                <c:ptCount val="2"/>
                <c:pt idx="1">
                  <c:v>Ton/year</c:v>
                </c:pt>
              </c:strCache>
            </c:strRef>
          </c:cat>
          <c:val>
            <c:numRef>
              <c:f>(Standards!$B$23,Standards!$B$37)</c:f>
              <c:numCache>
                <c:formatCode>General</c:formatCode>
                <c:ptCount val="2"/>
                <c:pt idx="0">
                  <c:v>307.2</c:v>
                </c:pt>
                <c:pt idx="1">
                  <c:v>12051.7248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4-4ADC-8277-80542C56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Standards!$B$34:$B$36</c:f>
              <c:numCache>
                <c:formatCode>General</c:formatCode>
                <c:ptCount val="3"/>
                <c:pt idx="0">
                  <c:v>3072</c:v>
                </c:pt>
                <c:pt idx="2">
                  <c:v>8979.7248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1-48D3-A19B-582B6586E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865632</xdr:colOff>
      <xdr:row>46</xdr:row>
      <xdr:rowOff>76200</xdr:rowOff>
    </xdr:to>
    <xdr:pic>
      <xdr:nvPicPr>
        <xdr:cNvPr id="13" name="Picture 12" descr="C:\Users\Carla Silva\AppData\Local\Microsoft\Windows\Temporary Internet Files\Content.IE5\12I5E61Y\electricity[1]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8020"/>
          <a:ext cx="888492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59763</xdr:colOff>
      <xdr:row>54</xdr:row>
      <xdr:rowOff>14608</xdr:rowOff>
    </xdr:from>
    <xdr:to>
      <xdr:col>1</xdr:col>
      <xdr:colOff>63007</xdr:colOff>
      <xdr:row>57</xdr:row>
      <xdr:rowOff>91440</xdr:rowOff>
    </xdr:to>
    <xdr:pic>
      <xdr:nvPicPr>
        <xdr:cNvPr id="14" name="Picture 13" descr="C:\Users\Carla Silva\AppData\Local\Microsoft\Windows\Temporary Internet Files\Content.IE5\Q31J44FW\5183644645_c4575bda49_b[1]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63" y="9227188"/>
          <a:ext cx="940504" cy="62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99060</xdr:rowOff>
    </xdr:from>
    <xdr:to>
      <xdr:col>7</xdr:col>
      <xdr:colOff>304800</xdr:colOff>
      <xdr:row>18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405766</xdr:colOff>
      <xdr:row>11</xdr:row>
      <xdr:rowOff>135255</xdr:rowOff>
    </xdr:from>
    <xdr:to>
      <xdr:col>7</xdr:col>
      <xdr:colOff>238126</xdr:colOff>
      <xdr:row>14</xdr:row>
      <xdr:rowOff>66675</xdr:rowOff>
    </xdr:to>
    <xdr:pic>
      <xdr:nvPicPr>
        <xdr:cNvPr id="3" name="Picture 2" descr="Resultado de imagem para travel to work by modes of transpo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615" t="79106" r="61825" b="7533"/>
        <a:stretch/>
      </xdr:blipFill>
      <xdr:spPr bwMode="auto">
        <a:xfrm>
          <a:off x="3453766" y="2230755"/>
          <a:ext cx="105156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266701</xdr:colOff>
      <xdr:row>3</xdr:row>
      <xdr:rowOff>114300</xdr:rowOff>
    </xdr:from>
    <xdr:to>
      <xdr:col>6</xdr:col>
      <xdr:colOff>91441</xdr:colOff>
      <xdr:row>8</xdr:row>
      <xdr:rowOff>22860</xdr:rowOff>
    </xdr:to>
    <xdr:pic>
      <xdr:nvPicPr>
        <xdr:cNvPr id="4" name="Picture 3" descr="Resultado de imagem para travel to work by modes of transport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58" t="2969" r="20089" b="73914"/>
        <a:stretch/>
      </xdr:blipFill>
      <xdr:spPr bwMode="auto">
        <a:xfrm>
          <a:off x="3314701" y="685800"/>
          <a:ext cx="43434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291464</xdr:colOff>
      <xdr:row>14</xdr:row>
      <xdr:rowOff>125730</xdr:rowOff>
    </xdr:from>
    <xdr:to>
      <xdr:col>2</xdr:col>
      <xdr:colOff>154305</xdr:colOff>
      <xdr:row>16</xdr:row>
      <xdr:rowOff>125730</xdr:rowOff>
    </xdr:to>
    <xdr:pic>
      <xdr:nvPicPr>
        <xdr:cNvPr id="5" name="Picture 4" descr="Resultado de imagem para travel to work by modes of transpo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24" t="78470" r="14107" b="11351"/>
        <a:stretch/>
      </xdr:blipFill>
      <xdr:spPr bwMode="auto">
        <a:xfrm>
          <a:off x="291464" y="2792730"/>
          <a:ext cx="1082041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472440</xdr:colOff>
      <xdr:row>25</xdr:row>
      <xdr:rowOff>0</xdr:rowOff>
    </xdr:from>
    <xdr:to>
      <xdr:col>9</xdr:col>
      <xdr:colOff>167640</xdr:colOff>
      <xdr:row>40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594360</xdr:colOff>
      <xdr:row>25</xdr:row>
      <xdr:rowOff>0</xdr:rowOff>
    </xdr:from>
    <xdr:to>
      <xdr:col>15</xdr:col>
      <xdr:colOff>289560</xdr:colOff>
      <xdr:row>40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>
      <selection activeCell="E5" sqref="E5"/>
    </sheetView>
  </sheetViews>
  <sheetFormatPr defaultRowHeight="14.75" x14ac:dyDescent="0.75"/>
  <cols>
    <col min="1" max="1" width="28" bestFit="1" customWidth="1"/>
    <col min="3" max="3" width="13.26953125" customWidth="1"/>
  </cols>
  <sheetData>
    <row r="1" spans="1:5" x14ac:dyDescent="0.75">
      <c r="B1" s="6" t="s">
        <v>32</v>
      </c>
      <c r="C1" s="6" t="s">
        <v>33</v>
      </c>
      <c r="D1" s="6" t="s">
        <v>34</v>
      </c>
      <c r="E1" s="6" t="s">
        <v>52</v>
      </c>
    </row>
    <row r="2" spans="1:5" x14ac:dyDescent="0.75">
      <c r="A2" s="6" t="s">
        <v>30</v>
      </c>
      <c r="B2">
        <v>0.84</v>
      </c>
      <c r="C2">
        <v>43.2</v>
      </c>
      <c r="D2">
        <f>B2*C2</f>
        <v>36.288000000000004</v>
      </c>
      <c r="E2">
        <f>3.2/C2*1000</f>
        <v>74.074074074074076</v>
      </c>
    </row>
    <row r="3" spans="1:5" x14ac:dyDescent="0.75">
      <c r="A3" s="6" t="s">
        <v>31</v>
      </c>
      <c r="B3">
        <v>0.75</v>
      </c>
      <c r="C3">
        <v>44</v>
      </c>
      <c r="D3">
        <f t="shared" ref="D3:D4" si="0">B3*C3</f>
        <v>33</v>
      </c>
      <c r="E3">
        <f>3.2/C3*1000</f>
        <v>72.727272727272734</v>
      </c>
    </row>
    <row r="4" spans="1:5" x14ac:dyDescent="0.75">
      <c r="A4" s="6" t="s">
        <v>35</v>
      </c>
      <c r="B4">
        <f>39.68*10^-3</f>
        <v>3.968E-2</v>
      </c>
      <c r="C4">
        <v>120</v>
      </c>
      <c r="D4">
        <f t="shared" si="0"/>
        <v>4.7615999999999996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opLeftCell="A13" workbookViewId="0">
      <selection activeCell="F62" sqref="F62"/>
    </sheetView>
  </sheetViews>
  <sheetFormatPr defaultRowHeight="14.75" x14ac:dyDescent="0.75"/>
  <cols>
    <col min="1" max="1" width="13.7265625" customWidth="1"/>
    <col min="2" max="2" width="12" bestFit="1" customWidth="1"/>
    <col min="3" max="3" width="16.54296875" bestFit="1" customWidth="1"/>
    <col min="4" max="4" width="19.86328125" bestFit="1" customWidth="1"/>
    <col min="5" max="6" width="9.7265625" customWidth="1"/>
    <col min="7" max="7" width="10.1328125" customWidth="1"/>
    <col min="10" max="10" width="15.54296875" customWidth="1"/>
    <col min="11" max="11" width="12.86328125" customWidth="1"/>
    <col min="12" max="12" width="13" customWidth="1"/>
    <col min="13" max="13" width="12" bestFit="1" customWidth="1"/>
  </cols>
  <sheetData>
    <row r="1" spans="1:8" ht="23.5" x14ac:dyDescent="0.75">
      <c r="A1" s="1" t="s">
        <v>26</v>
      </c>
    </row>
    <row r="2" spans="1:8" ht="23.5" x14ac:dyDescent="0.75">
      <c r="A2" s="2" t="s">
        <v>0</v>
      </c>
    </row>
    <row r="3" spans="1:8" ht="23.5" x14ac:dyDescent="0.75">
      <c r="A3" s="1" t="s">
        <v>27</v>
      </c>
    </row>
    <row r="4" spans="1:8" ht="23.5" x14ac:dyDescent="0.75">
      <c r="A4" s="1"/>
    </row>
    <row r="5" spans="1:8" ht="23.5" x14ac:dyDescent="0.75">
      <c r="A5" s="3" t="s">
        <v>1</v>
      </c>
    </row>
    <row r="6" spans="1:8" ht="23.5" x14ac:dyDescent="0.75">
      <c r="A6" s="3" t="s">
        <v>2</v>
      </c>
    </row>
    <row r="7" spans="1:8" ht="23.5" x14ac:dyDescent="0.75">
      <c r="A7" s="3" t="s">
        <v>3</v>
      </c>
    </row>
    <row r="9" spans="1:8" x14ac:dyDescent="0.75">
      <c r="A9" t="s">
        <v>43</v>
      </c>
      <c r="C9">
        <v>2</v>
      </c>
      <c r="D9" t="s">
        <v>8</v>
      </c>
    </row>
    <row r="10" spans="1:8" x14ac:dyDescent="0.75">
      <c r="A10" t="s">
        <v>7</v>
      </c>
      <c r="C10">
        <v>10</v>
      </c>
    </row>
    <row r="12" spans="1:8" x14ac:dyDescent="0.75">
      <c r="B12" t="s">
        <v>9</v>
      </c>
      <c r="E12" t="s">
        <v>51</v>
      </c>
      <c r="G12" t="s">
        <v>58</v>
      </c>
      <c r="H12" t="s">
        <v>59</v>
      </c>
    </row>
    <row r="13" spans="1:8" x14ac:dyDescent="0.75">
      <c r="A13" t="s">
        <v>4</v>
      </c>
      <c r="B13">
        <f>5*C9*2</f>
        <v>20</v>
      </c>
      <c r="C13" t="s">
        <v>8</v>
      </c>
      <c r="E13">
        <f>0.2*C10</f>
        <v>2</v>
      </c>
      <c r="G13">
        <f>E13*B13</f>
        <v>40</v>
      </c>
      <c r="H13">
        <f>G13*48</f>
        <v>1920</v>
      </c>
    </row>
    <row r="14" spans="1:8" x14ac:dyDescent="0.75">
      <c r="A14" t="s">
        <v>5</v>
      </c>
      <c r="B14">
        <f>5*C9*2</f>
        <v>20</v>
      </c>
      <c r="C14" t="s">
        <v>8</v>
      </c>
      <c r="E14">
        <f>0.2*C10</f>
        <v>2</v>
      </c>
      <c r="G14">
        <f>E14*B14</f>
        <v>40</v>
      </c>
      <c r="H14">
        <f t="shared" ref="H14:H15" si="0">G14*48</f>
        <v>1920</v>
      </c>
    </row>
    <row r="15" spans="1:8" x14ac:dyDescent="0.75">
      <c r="A15" t="s">
        <v>6</v>
      </c>
      <c r="B15">
        <f>5*2*C9</f>
        <v>20</v>
      </c>
      <c r="C15" t="s">
        <v>8</v>
      </c>
      <c r="E15">
        <f>0.6*C10</f>
        <v>6</v>
      </c>
      <c r="G15">
        <f>E15*B15</f>
        <v>120</v>
      </c>
      <c r="H15">
        <f t="shared" si="0"/>
        <v>5760</v>
      </c>
    </row>
    <row r="16" spans="1:8" x14ac:dyDescent="0.75">
      <c r="B16">
        <f>SUM(B13:B15)</f>
        <v>60</v>
      </c>
      <c r="C16" t="s">
        <v>38</v>
      </c>
      <c r="H16">
        <f>SUM(H13:H15)</f>
        <v>9600</v>
      </c>
    </row>
    <row r="17" spans="1:7" x14ac:dyDescent="0.75">
      <c r="B17">
        <f>B16*48</f>
        <v>2880</v>
      </c>
      <c r="C17" t="s">
        <v>39</v>
      </c>
    </row>
    <row r="19" spans="1:7" x14ac:dyDescent="0.75">
      <c r="A19" s="12" t="s">
        <v>18</v>
      </c>
      <c r="B19" s="10">
        <v>0.16</v>
      </c>
      <c r="C19" s="10" t="s">
        <v>14</v>
      </c>
      <c r="D19" s="10" t="s">
        <v>36</v>
      </c>
      <c r="E19" s="10"/>
      <c r="F19" s="10"/>
    </row>
    <row r="20" spans="1:7" x14ac:dyDescent="0.75">
      <c r="A20" s="12"/>
      <c r="B20" s="10">
        <f>B19*0.075</f>
        <v>1.2E-2</v>
      </c>
      <c r="C20" s="10" t="s">
        <v>28</v>
      </c>
      <c r="D20" s="10" t="s">
        <v>37</v>
      </c>
      <c r="E20" s="10"/>
      <c r="F20" s="10"/>
    </row>
    <row r="21" spans="1:7" x14ac:dyDescent="0.75">
      <c r="A21" s="12"/>
      <c r="B21" s="10">
        <v>0</v>
      </c>
      <c r="C21" s="10"/>
      <c r="D21" s="10" t="s">
        <v>44</v>
      </c>
      <c r="E21" s="10"/>
      <c r="F21" s="10"/>
    </row>
    <row r="22" spans="1:7" x14ac:dyDescent="0.75">
      <c r="A22" s="12"/>
      <c r="B22" s="10">
        <v>0</v>
      </c>
      <c r="C22" s="10"/>
      <c r="D22" s="10" t="s">
        <v>45</v>
      </c>
      <c r="E22" s="10"/>
      <c r="F22" s="10"/>
    </row>
    <row r="23" spans="1:7" x14ac:dyDescent="0.75">
      <c r="A23" s="12" t="s">
        <v>23</v>
      </c>
      <c r="B23" s="10">
        <f>B19*(B13*48*E13)</f>
        <v>307.2</v>
      </c>
      <c r="C23" s="10"/>
      <c r="D23" s="10"/>
      <c r="E23" s="10"/>
      <c r="F23" s="10"/>
    </row>
    <row r="24" spans="1:7" x14ac:dyDescent="0.75">
      <c r="A24" s="12" t="s">
        <v>57</v>
      </c>
      <c r="B24" s="10">
        <f>0.075*B23</f>
        <v>23.04</v>
      </c>
      <c r="C24" s="10"/>
      <c r="D24" s="10"/>
      <c r="E24" s="10"/>
      <c r="F24" s="10"/>
    </row>
    <row r="25" spans="1:7" x14ac:dyDescent="0.75">
      <c r="A25" s="4"/>
      <c r="B25" s="4"/>
      <c r="C25" s="4"/>
      <c r="D25" s="4"/>
      <c r="E25" s="4"/>
      <c r="F25" s="4"/>
      <c r="G25" s="4"/>
    </row>
    <row r="26" spans="1:7" x14ac:dyDescent="0.75">
      <c r="A26" s="7" t="s">
        <v>29</v>
      </c>
      <c r="B26" s="4">
        <v>1.6</v>
      </c>
      <c r="C26" s="4" t="s">
        <v>46</v>
      </c>
      <c r="D26" s="4"/>
      <c r="E26" s="4"/>
      <c r="F26" s="4"/>
      <c r="G26" s="4"/>
    </row>
    <row r="27" spans="1:7" x14ac:dyDescent="0.75">
      <c r="A27" s="7" t="s">
        <v>47</v>
      </c>
      <c r="B27" s="4">
        <f>(5.7+3.3)/2</f>
        <v>4.5</v>
      </c>
      <c r="C27" s="4" t="s">
        <v>48</v>
      </c>
      <c r="D27" s="4"/>
      <c r="E27" s="4">
        <f>B27/100*AVERAGE(Fuels!D2:D3)</f>
        <v>1.5589800000000003</v>
      </c>
      <c r="F27" s="4"/>
      <c r="G27" s="4" t="s">
        <v>14</v>
      </c>
    </row>
    <row r="28" spans="1:7" x14ac:dyDescent="0.75">
      <c r="A28" s="4"/>
      <c r="B28" s="4"/>
      <c r="C28" s="4"/>
      <c r="D28" s="4"/>
      <c r="E28" s="4"/>
      <c r="F28" s="4"/>
      <c r="G28" s="4"/>
    </row>
    <row r="29" spans="1:7" x14ac:dyDescent="0.75">
      <c r="A29" s="4"/>
      <c r="B29" s="4"/>
      <c r="C29" s="4"/>
      <c r="D29" s="4"/>
      <c r="E29" s="4"/>
      <c r="F29" s="4"/>
      <c r="G29" s="4"/>
    </row>
    <row r="30" spans="1:7" x14ac:dyDescent="0.75">
      <c r="A30" s="4"/>
      <c r="B30" s="4"/>
      <c r="C30" s="4"/>
      <c r="D30" s="4"/>
      <c r="E30" s="4"/>
      <c r="F30" s="4"/>
      <c r="G30" s="4"/>
    </row>
    <row r="31" spans="1:7" x14ac:dyDescent="0.75">
      <c r="A31" s="4"/>
      <c r="B31" s="4"/>
      <c r="C31" s="4"/>
      <c r="D31" s="4"/>
      <c r="E31" s="4"/>
      <c r="F31" s="4"/>
      <c r="G31" s="4"/>
    </row>
    <row r="32" spans="1:7" x14ac:dyDescent="0.75">
      <c r="A32" s="4"/>
      <c r="B32" s="4"/>
      <c r="C32" s="4"/>
      <c r="D32" s="4"/>
      <c r="E32" s="4"/>
      <c r="F32" s="4"/>
      <c r="G32" s="4"/>
    </row>
    <row r="33" spans="1:24" x14ac:dyDescent="0.75">
      <c r="A33" s="7" t="s">
        <v>22</v>
      </c>
      <c r="B33" s="13" t="s">
        <v>23</v>
      </c>
      <c r="C33" s="14" t="s">
        <v>53</v>
      </c>
      <c r="D33" s="14"/>
      <c r="E33" s="14" t="s">
        <v>54</v>
      </c>
      <c r="F33" s="4" t="s">
        <v>45</v>
      </c>
      <c r="G33" s="4"/>
    </row>
    <row r="34" spans="1:24" x14ac:dyDescent="0.75">
      <c r="A34" s="4" t="s">
        <v>5</v>
      </c>
      <c r="B34" s="4">
        <f>B14*E14*B26*48</f>
        <v>3072</v>
      </c>
      <c r="C34" s="4">
        <f>B34*Fuels!E2*10^-6</f>
        <v>0.22755555555555554</v>
      </c>
      <c r="D34" s="14" t="s">
        <v>55</v>
      </c>
      <c r="E34" s="4">
        <v>0.4</v>
      </c>
      <c r="F34" s="4">
        <v>0.01</v>
      </c>
      <c r="G34" s="4"/>
    </row>
    <row r="35" spans="1:24" x14ac:dyDescent="0.75">
      <c r="A35" s="4"/>
      <c r="B35" s="4"/>
      <c r="C35" s="4"/>
      <c r="D35" s="14" t="s">
        <v>56</v>
      </c>
      <c r="E35" s="4">
        <f>E34/(3.6*E41)*B34*10^-6</f>
        <v>1.3653333333333334E-4</v>
      </c>
      <c r="F35" s="4">
        <f>F34/(3.6*E41)*B36*10^-6</f>
        <v>9.9774720000000007E-6</v>
      </c>
      <c r="G35" s="4"/>
    </row>
    <row r="36" spans="1:24" x14ac:dyDescent="0.75">
      <c r="A36" s="4" t="s">
        <v>6</v>
      </c>
      <c r="B36" s="4">
        <f>B15*E15*E27*48</f>
        <v>8979.7248</v>
      </c>
      <c r="C36" s="4">
        <f>B36*AVERAGE(Fuels!C2:C3)*10^-6</f>
        <v>0.39151600128000003</v>
      </c>
      <c r="D36" s="14" t="s">
        <v>12</v>
      </c>
      <c r="E36" s="4">
        <f>AVERAGE(28,33)*10^-3</f>
        <v>3.0499999999999999E-2</v>
      </c>
      <c r="F36" s="4">
        <f>0.08*10^-3</f>
        <v>8.0000000000000007E-5</v>
      </c>
      <c r="G36" s="4"/>
    </row>
    <row r="37" spans="1:24" x14ac:dyDescent="0.75">
      <c r="A37" s="4" t="s">
        <v>50</v>
      </c>
      <c r="B37" s="4">
        <f>SUM(B34:B36)</f>
        <v>12051.7248</v>
      </c>
      <c r="C37" s="4">
        <f>C36+C34</f>
        <v>0.61907155683555559</v>
      </c>
      <c r="D37" s="14" t="s">
        <v>56</v>
      </c>
      <c r="E37" s="4">
        <f>E36*B15*48*E15*10^-6</f>
        <v>1.7568E-4</v>
      </c>
      <c r="F37" s="4">
        <f>F36*B15*48*E15*10^-6</f>
        <v>4.608E-7</v>
      </c>
      <c r="G37" s="4"/>
    </row>
    <row r="38" spans="1:24" x14ac:dyDescent="0.75">
      <c r="A38" s="4"/>
      <c r="B38" s="4"/>
      <c r="C38" s="4"/>
      <c r="D38" s="4" t="s">
        <v>49</v>
      </c>
      <c r="E38" s="4">
        <f>E37+E35</f>
        <v>3.1221333333333336E-4</v>
      </c>
      <c r="F38" s="4">
        <f>F37+F35</f>
        <v>1.0438272000000001E-5</v>
      </c>
      <c r="G38" s="4"/>
    </row>
    <row r="39" spans="1:24" x14ac:dyDescent="0.75">
      <c r="A39" s="4"/>
      <c r="B39" s="4"/>
      <c r="C39" s="4"/>
      <c r="D39" s="4"/>
      <c r="E39" s="4"/>
      <c r="F39" s="4">
        <f>F38*1000</f>
        <v>1.0438272000000002E-2</v>
      </c>
      <c r="G39" s="4"/>
    </row>
    <row r="40" spans="1:24" x14ac:dyDescent="0.75">
      <c r="A40" s="9"/>
      <c r="B40" s="9"/>
      <c r="C40" s="9"/>
      <c r="D40" s="9"/>
      <c r="E40" s="9"/>
      <c r="F40" s="9"/>
    </row>
    <row r="41" spans="1:24" x14ac:dyDescent="0.75">
      <c r="D41" t="s">
        <v>62</v>
      </c>
      <c r="E41">
        <f>1/(F42/100)</f>
        <v>2.5</v>
      </c>
      <c r="F41" t="s">
        <v>63</v>
      </c>
      <c r="G41">
        <v>1</v>
      </c>
    </row>
    <row r="42" spans="1:24" x14ac:dyDescent="0.75">
      <c r="F42">
        <v>40</v>
      </c>
    </row>
    <row r="43" spans="1:24" x14ac:dyDescent="0.75">
      <c r="F43" t="s">
        <v>64</v>
      </c>
    </row>
    <row r="45" spans="1:24" x14ac:dyDescent="0.75"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75"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75"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75">
      <c r="A48" t="s">
        <v>4</v>
      </c>
      <c r="B48">
        <f>B23</f>
        <v>307.2</v>
      </c>
      <c r="C48" t="s">
        <v>23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3" x14ac:dyDescent="0.75">
      <c r="A49" t="s">
        <v>5</v>
      </c>
      <c r="B49">
        <f>B34*0.2/0.7</f>
        <v>877.71428571428589</v>
      </c>
    </row>
    <row r="50" spans="1:23" x14ac:dyDescent="0.75">
      <c r="A50" t="s">
        <v>6</v>
      </c>
      <c r="B50">
        <f>B36*0.2/0.7</f>
        <v>2565.6356571428573</v>
      </c>
    </row>
    <row r="51" spans="1:23" x14ac:dyDescent="0.75">
      <c r="B51">
        <f>SUM(B49:B50)</f>
        <v>3443.3499428571431</v>
      </c>
    </row>
    <row r="53" spans="1:23" x14ac:dyDescent="0.75">
      <c r="B53">
        <f>SUM(B48,B51)</f>
        <v>3750.5499428571429</v>
      </c>
    </row>
    <row r="59" spans="1:23" x14ac:dyDescent="0.75">
      <c r="A59" t="s">
        <v>4</v>
      </c>
      <c r="B59">
        <f>B48</f>
        <v>307.2</v>
      </c>
      <c r="C59" t="s">
        <v>23</v>
      </c>
    </row>
    <row r="60" spans="1:23" x14ac:dyDescent="0.75">
      <c r="A60" t="s">
        <v>5</v>
      </c>
      <c r="B60">
        <f>B34*0.2/0.4</f>
        <v>1536.0000000000002</v>
      </c>
    </row>
    <row r="61" spans="1:23" x14ac:dyDescent="0.75">
      <c r="A61" t="s">
        <v>6</v>
      </c>
      <c r="B61">
        <f>B36*0.2/0.4</f>
        <v>4489.8624</v>
      </c>
    </row>
    <row r="62" spans="1:23" x14ac:dyDescent="0.75">
      <c r="B62">
        <f>SUM(B60:B61)</f>
        <v>6025.8624</v>
      </c>
    </row>
    <row r="64" spans="1:23" s="4" customFormat="1" x14ac:dyDescent="0.75">
      <c r="A64"/>
      <c r="B64">
        <f>SUM(B59,B62)</f>
        <v>6333.0623999999998</v>
      </c>
      <c r="C64"/>
      <c r="D64"/>
      <c r="E64"/>
      <c r="F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6" x14ac:dyDescent="0.75">
      <c r="A65" s="4"/>
      <c r="B65" s="4"/>
      <c r="C65" s="4"/>
      <c r="D65" s="4"/>
      <c r="E65" s="4"/>
      <c r="F65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F2D4-8A6B-4F86-ADA5-F53395C4CDCE}">
  <dimension ref="A1:T65"/>
  <sheetViews>
    <sheetView topLeftCell="A16" workbookViewId="0">
      <selection activeCell="N40" sqref="A1:XFD1048576"/>
    </sheetView>
  </sheetViews>
  <sheetFormatPr defaultRowHeight="14.75" x14ac:dyDescent="0.75"/>
  <cols>
    <col min="1" max="1" width="13.7265625" customWidth="1"/>
    <col min="2" max="2" width="12" bestFit="1" customWidth="1"/>
    <col min="3" max="3" width="16.54296875" bestFit="1" customWidth="1"/>
    <col min="4" max="4" width="19.86328125" bestFit="1" customWidth="1"/>
    <col min="5" max="6" width="9.7265625" customWidth="1"/>
    <col min="7" max="7" width="10.1328125" customWidth="1"/>
    <col min="10" max="10" width="15.54296875" customWidth="1"/>
    <col min="11" max="11" width="12.86328125" customWidth="1"/>
    <col min="12" max="12" width="13" customWidth="1"/>
    <col min="13" max="13" width="12" bestFit="1" customWidth="1"/>
  </cols>
  <sheetData>
    <row r="1" spans="1:8" ht="23.5" x14ac:dyDescent="0.75">
      <c r="A1" s="1" t="s">
        <v>26</v>
      </c>
    </row>
    <row r="2" spans="1:8" ht="23.5" x14ac:dyDescent="0.75">
      <c r="A2" s="2" t="s">
        <v>0</v>
      </c>
    </row>
    <row r="3" spans="1:8" ht="23.5" x14ac:dyDescent="0.75">
      <c r="A3" s="1" t="s">
        <v>27</v>
      </c>
    </row>
    <row r="4" spans="1:8" ht="23.5" x14ac:dyDescent="0.75">
      <c r="A4" s="1"/>
    </row>
    <row r="5" spans="1:8" ht="23.5" x14ac:dyDescent="0.75">
      <c r="A5" s="3" t="s">
        <v>1</v>
      </c>
    </row>
    <row r="6" spans="1:8" ht="23.5" x14ac:dyDescent="0.75">
      <c r="A6" s="3" t="s">
        <v>2</v>
      </c>
    </row>
    <row r="7" spans="1:8" ht="23.5" x14ac:dyDescent="0.75">
      <c r="A7" s="3" t="s">
        <v>3</v>
      </c>
    </row>
    <row r="9" spans="1:8" x14ac:dyDescent="0.75">
      <c r="A9" t="s">
        <v>43</v>
      </c>
      <c r="C9">
        <v>2</v>
      </c>
      <c r="D9" t="s">
        <v>8</v>
      </c>
    </row>
    <row r="10" spans="1:8" x14ac:dyDescent="0.75">
      <c r="A10" t="s">
        <v>7</v>
      </c>
      <c r="C10">
        <v>10</v>
      </c>
    </row>
    <row r="12" spans="1:8" x14ac:dyDescent="0.75">
      <c r="B12" t="s">
        <v>9</v>
      </c>
      <c r="E12" t="s">
        <v>51</v>
      </c>
      <c r="G12" t="s">
        <v>58</v>
      </c>
      <c r="H12" t="s">
        <v>59</v>
      </c>
    </row>
    <row r="13" spans="1:8" x14ac:dyDescent="0.75">
      <c r="A13" t="s">
        <v>4</v>
      </c>
      <c r="B13">
        <f>5*C9*2</f>
        <v>20</v>
      </c>
      <c r="C13" t="s">
        <v>8</v>
      </c>
      <c r="E13">
        <f>0.2*C10</f>
        <v>2</v>
      </c>
      <c r="G13">
        <f>E13*B13</f>
        <v>40</v>
      </c>
      <c r="H13">
        <f>G13*48</f>
        <v>1920</v>
      </c>
    </row>
    <row r="14" spans="1:8" x14ac:dyDescent="0.75">
      <c r="A14" t="s">
        <v>5</v>
      </c>
      <c r="B14">
        <f>5*C9*2</f>
        <v>20</v>
      </c>
      <c r="C14" t="s">
        <v>8</v>
      </c>
      <c r="E14">
        <f>0.2*C10</f>
        <v>2</v>
      </c>
      <c r="G14">
        <f>E14*B14</f>
        <v>40</v>
      </c>
      <c r="H14">
        <f t="shared" ref="H14:H15" si="0">G14*48</f>
        <v>1920</v>
      </c>
    </row>
    <row r="15" spans="1:8" x14ac:dyDescent="0.75">
      <c r="A15" t="s">
        <v>6</v>
      </c>
      <c r="B15">
        <f>5*2*C9</f>
        <v>20</v>
      </c>
      <c r="C15" t="s">
        <v>8</v>
      </c>
      <c r="E15">
        <f>0.6*C10</f>
        <v>6</v>
      </c>
      <c r="G15">
        <f>E15*B15</f>
        <v>120</v>
      </c>
      <c r="H15">
        <f t="shared" si="0"/>
        <v>5760</v>
      </c>
    </row>
    <row r="16" spans="1:8" x14ac:dyDescent="0.75">
      <c r="B16">
        <f>SUM(B13:B15)</f>
        <v>60</v>
      </c>
      <c r="C16" t="s">
        <v>38</v>
      </c>
      <c r="H16">
        <f>SUM(H13:H15)</f>
        <v>9600</v>
      </c>
    </row>
    <row r="17" spans="1:20" x14ac:dyDescent="0.75">
      <c r="B17">
        <f>B16*48</f>
        <v>2880</v>
      </c>
      <c r="C17" t="s">
        <v>39</v>
      </c>
    </row>
    <row r="19" spans="1:20" x14ac:dyDescent="0.75">
      <c r="A19" s="12" t="s">
        <v>18</v>
      </c>
      <c r="B19" s="10">
        <v>0.16</v>
      </c>
      <c r="C19" s="10" t="s">
        <v>14</v>
      </c>
      <c r="D19" s="10" t="s">
        <v>36</v>
      </c>
      <c r="E19" s="10"/>
      <c r="F19" s="10"/>
    </row>
    <row r="20" spans="1:20" x14ac:dyDescent="0.75">
      <c r="A20" s="12"/>
      <c r="B20" s="10">
        <f>B19*0.075</f>
        <v>1.2E-2</v>
      </c>
      <c r="C20" s="10" t="s">
        <v>28</v>
      </c>
      <c r="D20" s="10" t="s">
        <v>37</v>
      </c>
      <c r="E20" s="10"/>
      <c r="F20" s="10"/>
    </row>
    <row r="21" spans="1:20" x14ac:dyDescent="0.75">
      <c r="A21" s="12"/>
      <c r="B21" s="10">
        <v>0</v>
      </c>
      <c r="C21" s="10"/>
      <c r="D21" s="10" t="s">
        <v>44</v>
      </c>
      <c r="E21" s="10"/>
      <c r="F21" s="10"/>
    </row>
    <row r="22" spans="1:20" x14ac:dyDescent="0.75">
      <c r="A22" s="12"/>
      <c r="B22" s="10">
        <v>0</v>
      </c>
      <c r="C22" s="10"/>
      <c r="D22" s="10" t="s">
        <v>45</v>
      </c>
      <c r="E22" s="10"/>
      <c r="F22" s="10"/>
    </row>
    <row r="23" spans="1:20" x14ac:dyDescent="0.75">
      <c r="A23" s="12" t="s">
        <v>23</v>
      </c>
      <c r="B23" s="10">
        <f>B19*(B13*48*E13)</f>
        <v>307.2</v>
      </c>
      <c r="C23" s="10"/>
      <c r="D23" s="10"/>
      <c r="E23" s="10"/>
      <c r="F23" s="10"/>
    </row>
    <row r="24" spans="1:20" x14ac:dyDescent="0.75">
      <c r="A24" s="12" t="s">
        <v>57</v>
      </c>
      <c r="B24" s="10">
        <f>0.075*B23</f>
        <v>23.04</v>
      </c>
      <c r="C24" s="10"/>
      <c r="D24" s="10"/>
      <c r="E24" s="10"/>
      <c r="F24" s="10"/>
      <c r="T24" t="s">
        <v>61</v>
      </c>
    </row>
    <row r="25" spans="1:20" x14ac:dyDescent="0.75">
      <c r="A25" s="5" t="s">
        <v>11</v>
      </c>
      <c r="B25" s="5"/>
      <c r="C25" s="5"/>
      <c r="D25" s="5"/>
      <c r="E25" s="5"/>
      <c r="F25" s="5"/>
      <c r="G25" s="5"/>
      <c r="H25" s="5"/>
      <c r="I25" s="5"/>
      <c r="J25" s="5"/>
      <c r="M25" s="15">
        <v>240</v>
      </c>
      <c r="N25" s="15">
        <v>11000</v>
      </c>
    </row>
    <row r="26" spans="1:20" x14ac:dyDescent="0.75">
      <c r="A26" s="5">
        <v>240</v>
      </c>
      <c r="B26" s="5" t="s">
        <v>12</v>
      </c>
      <c r="C26" s="5">
        <f>A26*10^-3*Fuels!C2</f>
        <v>10.368</v>
      </c>
      <c r="D26" s="5" t="s">
        <v>13</v>
      </c>
      <c r="E26" s="5">
        <v>80</v>
      </c>
      <c r="F26" s="5" t="s">
        <v>15</v>
      </c>
      <c r="G26" s="5">
        <f>N27/(0.5*E26)</f>
        <v>0.32989090909090907</v>
      </c>
      <c r="H26" s="5" t="s">
        <v>14</v>
      </c>
      <c r="I26" s="5" t="s">
        <v>16</v>
      </c>
      <c r="J26" s="5"/>
      <c r="M26" s="15" t="s">
        <v>60</v>
      </c>
      <c r="N26" s="15">
        <f>N25+40*75</f>
        <v>14000</v>
      </c>
    </row>
    <row r="27" spans="1:20" x14ac:dyDescent="0.75">
      <c r="A27" s="5">
        <v>65</v>
      </c>
      <c r="B27" s="5" t="s">
        <v>12</v>
      </c>
      <c r="C27" s="5">
        <f>A27*10^-3*(AVERAGE(Fuels!C2:C3))</f>
        <v>2.8340000000000001</v>
      </c>
      <c r="D27" s="5" t="s">
        <v>13</v>
      </c>
      <c r="E27" s="5">
        <v>5</v>
      </c>
      <c r="F27" s="5" t="s">
        <v>15</v>
      </c>
      <c r="G27" s="5">
        <f>C27/1</f>
        <v>2.8340000000000001</v>
      </c>
      <c r="H27" s="5" t="s">
        <v>14</v>
      </c>
      <c r="I27" s="5" t="s">
        <v>17</v>
      </c>
      <c r="J27" s="5"/>
      <c r="M27" s="15">
        <f>N26*M25/N25</f>
        <v>305.45454545454544</v>
      </c>
      <c r="N27" s="15">
        <f>M27*10^-3*Fuels!C2</f>
        <v>13.195636363636362</v>
      </c>
    </row>
    <row r="28" spans="1:20" x14ac:dyDescent="0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20" x14ac:dyDescent="0.75">
      <c r="A29" s="5"/>
      <c r="B29" s="5"/>
      <c r="C29" s="5"/>
      <c r="D29" s="5" t="s">
        <v>40</v>
      </c>
      <c r="E29" s="5" t="s">
        <v>41</v>
      </c>
      <c r="F29" s="5" t="s">
        <v>42</v>
      </c>
      <c r="G29" s="5"/>
      <c r="H29" s="5"/>
      <c r="I29" s="5"/>
      <c r="J29" s="5"/>
    </row>
    <row r="30" spans="1:20" x14ac:dyDescent="0.75">
      <c r="A30" s="5"/>
      <c r="B30" s="5"/>
      <c r="C30" s="5" t="s">
        <v>5</v>
      </c>
      <c r="D30" s="5">
        <v>3.2</v>
      </c>
      <c r="E30" s="5">
        <f>33.37</f>
        <v>33.369999999999997</v>
      </c>
      <c r="F30" s="5">
        <f>0.94</f>
        <v>0.94</v>
      </c>
      <c r="G30" s="5"/>
      <c r="H30" s="5"/>
      <c r="I30" s="5"/>
      <c r="J30" s="5"/>
    </row>
    <row r="31" spans="1:20" x14ac:dyDescent="0.75">
      <c r="A31" s="5"/>
      <c r="B31" s="5"/>
      <c r="C31" s="5" t="s">
        <v>6</v>
      </c>
      <c r="D31" s="5">
        <v>3.2</v>
      </c>
      <c r="E31" s="5">
        <f>AVERAGEA(8.73,12.96)</f>
        <v>10.845000000000001</v>
      </c>
      <c r="F31" s="5">
        <f>AVERAGE(0.03,1.1)</f>
        <v>0.56500000000000006</v>
      </c>
      <c r="G31" s="5"/>
      <c r="H31" s="5"/>
      <c r="I31" s="5"/>
      <c r="J31" s="5"/>
    </row>
    <row r="32" spans="1:20" x14ac:dyDescent="0.75">
      <c r="A32" s="5"/>
      <c r="B32" s="5"/>
      <c r="C32" s="11" t="s">
        <v>24</v>
      </c>
      <c r="D32" s="5"/>
      <c r="E32" s="5"/>
      <c r="F32" s="5"/>
      <c r="G32" s="5"/>
      <c r="H32" s="5"/>
      <c r="I32" s="5"/>
      <c r="J32" s="5"/>
    </row>
    <row r="33" spans="1:10" x14ac:dyDescent="0.75">
      <c r="A33" s="8" t="s">
        <v>23</v>
      </c>
      <c r="B33" s="5"/>
      <c r="C33" s="5" t="s">
        <v>5</v>
      </c>
      <c r="D33" s="5">
        <f>Fuels!E2</f>
        <v>74.074074074074076</v>
      </c>
      <c r="E33" s="5">
        <f>E30/Fuels!C2</f>
        <v>0.77245370370370359</v>
      </c>
      <c r="F33" s="5">
        <f>F30/42</f>
        <v>2.238095238095238E-2</v>
      </c>
      <c r="G33" s="5"/>
      <c r="H33" s="5"/>
      <c r="I33" s="5"/>
      <c r="J33" s="5"/>
    </row>
    <row r="34" spans="1:10" x14ac:dyDescent="0.75">
      <c r="A34" s="5">
        <f>B14*E14*G26*48</f>
        <v>633.39054545454542</v>
      </c>
      <c r="B34" s="5"/>
      <c r="C34" s="5" t="s">
        <v>6</v>
      </c>
      <c r="D34" s="5">
        <f>AVERAGE(Fuels!E2:E3)</f>
        <v>73.400673400673412</v>
      </c>
      <c r="E34" s="5">
        <f>E31/(AVERAGE(Fuels!C2:C3))</f>
        <v>0.24873853211009175</v>
      </c>
      <c r="F34" s="5">
        <f>F31/42</f>
        <v>1.3452380952380954E-2</v>
      </c>
      <c r="G34" s="5"/>
      <c r="H34" s="5"/>
      <c r="I34" s="5"/>
      <c r="J34" s="5"/>
    </row>
    <row r="35" spans="1:10" x14ac:dyDescent="0.75">
      <c r="A35" s="5">
        <f>B15*E15*G27*48</f>
        <v>16323.84</v>
      </c>
      <c r="B35" s="5"/>
      <c r="C35" s="8" t="s">
        <v>25</v>
      </c>
      <c r="D35" s="5"/>
      <c r="E35" s="5"/>
      <c r="F35" s="5"/>
      <c r="G35" s="5"/>
      <c r="H35" s="5"/>
      <c r="I35" s="5"/>
      <c r="J35" s="5"/>
    </row>
    <row r="36" spans="1:10" x14ac:dyDescent="0.75">
      <c r="A36" s="5">
        <f>SUM(A34:A35)</f>
        <v>16957.230545454546</v>
      </c>
      <c r="B36" s="5"/>
      <c r="C36" s="5" t="s">
        <v>5</v>
      </c>
      <c r="D36" s="5">
        <f>D33*$A$34*10^-6</f>
        <v>4.6917818181818179E-2</v>
      </c>
      <c r="E36" s="5">
        <f>E33*$A$34*10^-6</f>
        <v>4.8926487272727261E-4</v>
      </c>
      <c r="F36" s="5">
        <f>F33*$A$34*10^-6</f>
        <v>1.4175883636363633E-5</v>
      </c>
      <c r="G36" s="5"/>
      <c r="H36" s="5"/>
      <c r="I36" s="5"/>
      <c r="J36" s="5"/>
    </row>
    <row r="37" spans="1:10" x14ac:dyDescent="0.75">
      <c r="A37" s="5"/>
      <c r="B37" s="5"/>
      <c r="C37" s="5" t="s">
        <v>6</v>
      </c>
      <c r="D37" s="5">
        <f>D34*$A$35*10^-6</f>
        <v>1.1981808484848486</v>
      </c>
      <c r="E37" s="5">
        <f>E34*$A$35*10^-6</f>
        <v>4.060368E-3</v>
      </c>
      <c r="F37" s="5">
        <f>F34*$A$35*10^-6</f>
        <v>2.1959451428571429E-4</v>
      </c>
      <c r="G37" s="5"/>
      <c r="H37" s="5"/>
      <c r="I37" s="5"/>
      <c r="J37" s="5"/>
    </row>
    <row r="38" spans="1:10" x14ac:dyDescent="0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75">
      <c r="A39" s="5"/>
      <c r="B39" s="5"/>
      <c r="C39" s="5" t="s">
        <v>49</v>
      </c>
      <c r="D39" s="5">
        <f>SUM(D36:D37)</f>
        <v>1.2450986666666668</v>
      </c>
      <c r="E39" s="5">
        <f t="shared" ref="E39:F39" si="1">SUM(E36:E37)</f>
        <v>4.5496328727272729E-3</v>
      </c>
      <c r="F39" s="5">
        <f t="shared" si="1"/>
        <v>2.3377039792207792E-4</v>
      </c>
      <c r="G39" s="5"/>
      <c r="H39" s="5"/>
      <c r="I39" s="5"/>
      <c r="J39" s="5"/>
    </row>
    <row r="40" spans="1:10" x14ac:dyDescent="0.75">
      <c r="A40" s="9"/>
      <c r="B40" s="9"/>
      <c r="C40" s="9"/>
      <c r="D40" s="9"/>
      <c r="E40" s="9"/>
      <c r="F40" s="9"/>
    </row>
    <row r="64" spans="1:6" s="4" customFormat="1" x14ac:dyDescent="0.75">
      <c r="A64"/>
      <c r="B64"/>
      <c r="C64"/>
      <c r="D64"/>
      <c r="E64"/>
      <c r="F64"/>
    </row>
    <row r="65" spans="1:6" x14ac:dyDescent="0.75">
      <c r="A65" s="4"/>
      <c r="B65" s="4"/>
      <c r="C65" s="4"/>
      <c r="D65" s="4"/>
      <c r="E65" s="4"/>
      <c r="F65" s="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E185-E0E4-4BF2-A1B0-18F57F97B695}">
  <dimension ref="A1:N65"/>
  <sheetViews>
    <sheetView topLeftCell="A16" workbookViewId="0">
      <selection activeCell="E42" sqref="E42"/>
    </sheetView>
  </sheetViews>
  <sheetFormatPr defaultRowHeight="14.75" x14ac:dyDescent="0.75"/>
  <cols>
    <col min="1" max="1" width="13.7265625" customWidth="1"/>
    <col min="2" max="2" width="12" bestFit="1" customWidth="1"/>
    <col min="3" max="3" width="16.54296875" bestFit="1" customWidth="1"/>
    <col min="4" max="4" width="19.86328125" bestFit="1" customWidth="1"/>
    <col min="5" max="5" width="11.54296875" customWidth="1"/>
    <col min="6" max="6" width="9.7265625" customWidth="1"/>
    <col min="7" max="7" width="10.1328125" customWidth="1"/>
    <col min="10" max="10" width="15.54296875" customWidth="1"/>
    <col min="11" max="11" width="12.86328125" customWidth="1"/>
    <col min="12" max="12" width="13" customWidth="1"/>
    <col min="13" max="13" width="12" bestFit="1" customWidth="1"/>
  </cols>
  <sheetData>
    <row r="1" spans="1:8" ht="23.5" x14ac:dyDescent="0.75">
      <c r="A1" s="1" t="s">
        <v>65</v>
      </c>
    </row>
    <row r="2" spans="1:8" ht="23.5" x14ac:dyDescent="0.75">
      <c r="A2" s="2" t="s">
        <v>0</v>
      </c>
    </row>
    <row r="3" spans="1:8" ht="23.5" x14ac:dyDescent="0.75">
      <c r="A3" s="1" t="s">
        <v>27</v>
      </c>
    </row>
    <row r="4" spans="1:8" ht="23.5" x14ac:dyDescent="0.75">
      <c r="A4" s="1"/>
    </row>
    <row r="5" spans="1:8" ht="23.5" x14ac:dyDescent="0.75">
      <c r="A5" s="3" t="s">
        <v>1</v>
      </c>
    </row>
    <row r="6" spans="1:8" ht="23.5" x14ac:dyDescent="0.75">
      <c r="A6" s="3" t="s">
        <v>2</v>
      </c>
    </row>
    <row r="7" spans="1:8" ht="23.5" x14ac:dyDescent="0.75">
      <c r="A7" s="3" t="s">
        <v>3</v>
      </c>
    </row>
    <row r="9" spans="1:8" x14ac:dyDescent="0.75">
      <c r="A9" t="s">
        <v>43</v>
      </c>
      <c r="C9">
        <v>2</v>
      </c>
      <c r="D9" t="s">
        <v>8</v>
      </c>
    </row>
    <row r="10" spans="1:8" x14ac:dyDescent="0.75">
      <c r="A10" t="s">
        <v>7</v>
      </c>
      <c r="C10">
        <v>10</v>
      </c>
    </row>
    <row r="12" spans="1:8" x14ac:dyDescent="0.75">
      <c r="B12" t="s">
        <v>9</v>
      </c>
      <c r="E12" t="s">
        <v>51</v>
      </c>
      <c r="G12" t="s">
        <v>58</v>
      </c>
      <c r="H12" t="s">
        <v>59</v>
      </c>
    </row>
    <row r="13" spans="1:8" x14ac:dyDescent="0.75">
      <c r="A13" t="s">
        <v>4</v>
      </c>
      <c r="B13">
        <f>5*C9*2</f>
        <v>20</v>
      </c>
      <c r="C13" t="s">
        <v>8</v>
      </c>
      <c r="E13">
        <f>0.2*C10</f>
        <v>2</v>
      </c>
      <c r="G13">
        <f>E13*B13</f>
        <v>40</v>
      </c>
      <c r="H13">
        <f>G13*48</f>
        <v>1920</v>
      </c>
    </row>
    <row r="14" spans="1:8" x14ac:dyDescent="0.75">
      <c r="A14" t="s">
        <v>5</v>
      </c>
      <c r="B14">
        <f>5*C9*2</f>
        <v>20</v>
      </c>
      <c r="C14" t="s">
        <v>8</v>
      </c>
      <c r="E14">
        <f>0.2*C10</f>
        <v>2</v>
      </c>
      <c r="G14">
        <f>E14*B14</f>
        <v>40</v>
      </c>
      <c r="H14">
        <f t="shared" ref="H14:H15" si="0">G14*48</f>
        <v>1920</v>
      </c>
    </row>
    <row r="15" spans="1:8" x14ac:dyDescent="0.75">
      <c r="A15" t="s">
        <v>6</v>
      </c>
      <c r="B15">
        <f>5*2*C9</f>
        <v>20</v>
      </c>
      <c r="C15" t="s">
        <v>8</v>
      </c>
      <c r="E15">
        <f>0.6*C10</f>
        <v>6</v>
      </c>
      <c r="G15">
        <f>E15*B15</f>
        <v>120</v>
      </c>
      <c r="H15">
        <f t="shared" si="0"/>
        <v>5760</v>
      </c>
    </row>
    <row r="16" spans="1:8" x14ac:dyDescent="0.75">
      <c r="B16">
        <f>SUM(B13:B15)</f>
        <v>60</v>
      </c>
      <c r="C16" t="s">
        <v>38</v>
      </c>
      <c r="H16">
        <f>SUM(H13:H15)</f>
        <v>9600</v>
      </c>
    </row>
    <row r="17" spans="1:14" x14ac:dyDescent="0.75">
      <c r="B17">
        <f>B16*48</f>
        <v>2880</v>
      </c>
      <c r="C17" t="s">
        <v>39</v>
      </c>
    </row>
    <row r="19" spans="1:14" x14ac:dyDescent="0.75">
      <c r="A19" s="12" t="s">
        <v>18</v>
      </c>
      <c r="B19" s="10">
        <v>0.16</v>
      </c>
      <c r="C19" s="10" t="s">
        <v>14</v>
      </c>
      <c r="D19" s="10" t="s">
        <v>36</v>
      </c>
      <c r="E19" s="10"/>
      <c r="F19" s="10"/>
    </row>
    <row r="20" spans="1:14" x14ac:dyDescent="0.75">
      <c r="A20" s="12"/>
      <c r="B20" s="10">
        <f>B19*0.075</f>
        <v>1.2E-2</v>
      </c>
      <c r="C20" s="10" t="s">
        <v>28</v>
      </c>
      <c r="D20" s="10" t="s">
        <v>37</v>
      </c>
      <c r="E20" s="10"/>
      <c r="F20" s="10"/>
    </row>
    <row r="21" spans="1:14" x14ac:dyDescent="0.75">
      <c r="A21" s="12"/>
      <c r="B21" s="10">
        <v>0</v>
      </c>
      <c r="C21" s="10"/>
      <c r="D21" s="10" t="s">
        <v>44</v>
      </c>
      <c r="E21" s="10"/>
      <c r="F21" s="10"/>
    </row>
    <row r="22" spans="1:14" x14ac:dyDescent="0.75">
      <c r="A22" s="12"/>
      <c r="B22" s="10">
        <v>0</v>
      </c>
      <c r="C22" s="10"/>
      <c r="D22" s="10" t="s">
        <v>45</v>
      </c>
      <c r="E22" s="10"/>
      <c r="F22" s="10"/>
    </row>
    <row r="23" spans="1:14" x14ac:dyDescent="0.75">
      <c r="A23" s="12" t="s">
        <v>23</v>
      </c>
      <c r="B23" s="10">
        <f>B19*(B13*48*E13)</f>
        <v>307.2</v>
      </c>
      <c r="C23" s="10"/>
      <c r="D23" s="10"/>
      <c r="E23" s="10"/>
      <c r="F23" s="10"/>
    </row>
    <row r="24" spans="1:14" x14ac:dyDescent="0.75">
      <c r="A24" s="12" t="s">
        <v>57</v>
      </c>
      <c r="B24" s="10">
        <f>0.075*B23</f>
        <v>23.04</v>
      </c>
      <c r="C24" s="10"/>
      <c r="D24" s="10"/>
      <c r="E24" s="10"/>
      <c r="F24" s="10"/>
    </row>
    <row r="25" spans="1:14" x14ac:dyDescent="0.7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M25" s="9"/>
      <c r="N25" s="9"/>
    </row>
    <row r="26" spans="1:14" x14ac:dyDescent="0.75">
      <c r="A26" s="5">
        <f>C26/Fuels!C2*1000</f>
        <v>297.45370370370364</v>
      </c>
      <c r="B26" s="5" t="s">
        <v>12</v>
      </c>
      <c r="C26" s="5">
        <v>12.85</v>
      </c>
      <c r="D26" s="5" t="s">
        <v>13</v>
      </c>
      <c r="E26" s="5">
        <v>80</v>
      </c>
      <c r="F26" s="5" t="s">
        <v>15</v>
      </c>
      <c r="G26" s="5">
        <f>C26/(E26/2)</f>
        <v>0.32124999999999998</v>
      </c>
      <c r="H26" s="5" t="s">
        <v>14</v>
      </c>
      <c r="I26" s="5" t="s">
        <v>16</v>
      </c>
      <c r="J26" s="5"/>
      <c r="M26" s="9"/>
      <c r="N26" s="9"/>
    </row>
    <row r="27" spans="1:14" x14ac:dyDescent="0.75">
      <c r="A27" s="5">
        <f>C27/((Fuels!C3+Fuels!C2)/2)*1000</f>
        <v>46.674311926605505</v>
      </c>
      <c r="B27" s="5" t="s">
        <v>12</v>
      </c>
      <c r="C27" s="5">
        <f>(1.62+2.45)/2</f>
        <v>2.0350000000000001</v>
      </c>
      <c r="D27" s="5" t="s">
        <v>13</v>
      </c>
      <c r="E27" s="5">
        <v>5</v>
      </c>
      <c r="F27" s="5" t="s">
        <v>15</v>
      </c>
      <c r="G27" s="5">
        <f>C27/1</f>
        <v>2.0350000000000001</v>
      </c>
      <c r="H27" s="5" t="s">
        <v>14</v>
      </c>
      <c r="I27" s="5" t="s">
        <v>17</v>
      </c>
      <c r="J27" s="5"/>
      <c r="M27" s="9"/>
      <c r="N27" s="9"/>
    </row>
    <row r="28" spans="1:14" x14ac:dyDescent="0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4" x14ac:dyDescent="0.75">
      <c r="A29" s="5"/>
      <c r="B29" s="5"/>
      <c r="C29" s="5"/>
      <c r="D29" s="5" t="s">
        <v>40</v>
      </c>
      <c r="E29" s="5" t="s">
        <v>67</v>
      </c>
      <c r="F29" s="5" t="s">
        <v>69</v>
      </c>
      <c r="G29" s="5"/>
      <c r="H29" s="5"/>
      <c r="I29" s="5"/>
      <c r="J29" s="5"/>
    </row>
    <row r="30" spans="1:14" x14ac:dyDescent="0.75">
      <c r="A30" s="5"/>
      <c r="B30" s="5"/>
      <c r="C30" s="5" t="s">
        <v>5</v>
      </c>
      <c r="D30" s="5">
        <v>3.2</v>
      </c>
      <c r="E30" s="5">
        <f>33.37</f>
        <v>33.369999999999997</v>
      </c>
      <c r="F30" s="5">
        <f>0.94</f>
        <v>0.94</v>
      </c>
      <c r="G30" s="5"/>
      <c r="H30" s="5"/>
      <c r="I30" s="5"/>
      <c r="J30" s="5"/>
    </row>
    <row r="31" spans="1:14" x14ac:dyDescent="0.75">
      <c r="A31" s="5"/>
      <c r="B31" s="5"/>
      <c r="C31" s="5" t="s">
        <v>6</v>
      </c>
      <c r="D31" s="5">
        <v>3.2</v>
      </c>
      <c r="E31" s="5">
        <f>AVERAGEA(8.73,12.96)</f>
        <v>10.845000000000001</v>
      </c>
      <c r="F31" s="5">
        <f>AVERAGE(0.03,1.1)</f>
        <v>0.56500000000000006</v>
      </c>
      <c r="G31" s="5"/>
      <c r="H31" s="5"/>
      <c r="I31" s="5"/>
      <c r="J31" s="5"/>
    </row>
    <row r="32" spans="1:14" x14ac:dyDescent="0.75">
      <c r="A32" s="5"/>
      <c r="B32" s="5"/>
      <c r="C32" s="5"/>
      <c r="D32" s="16" t="s">
        <v>24</v>
      </c>
      <c r="E32" s="5" t="s">
        <v>68</v>
      </c>
      <c r="F32" s="5" t="s">
        <v>69</v>
      </c>
      <c r="G32" s="5"/>
      <c r="H32" s="5"/>
      <c r="I32" s="5"/>
      <c r="J32" s="5"/>
    </row>
    <row r="33" spans="1:10" x14ac:dyDescent="0.75">
      <c r="A33" s="8" t="s">
        <v>23</v>
      </c>
      <c r="B33" s="5"/>
      <c r="C33" s="5" t="s">
        <v>5</v>
      </c>
      <c r="D33" s="5">
        <f>Fuels!E2</f>
        <v>74.074074074074076</v>
      </c>
      <c r="E33" s="5">
        <v>0.59699999999999998</v>
      </c>
      <c r="F33" s="5">
        <f>0.0023/(E26*0.5)</f>
        <v>5.7500000000000002E-5</v>
      </c>
      <c r="G33" s="5"/>
      <c r="H33" s="5"/>
      <c r="I33" s="5"/>
      <c r="J33" s="5"/>
    </row>
    <row r="34" spans="1:10" x14ac:dyDescent="0.75">
      <c r="A34" s="5">
        <f>B14*E14*G26*48</f>
        <v>616.79999999999995</v>
      </c>
      <c r="B34" s="5"/>
      <c r="C34" s="5" t="s">
        <v>6</v>
      </c>
      <c r="D34" s="5">
        <f>AVERAGE(Fuels!E2:E3)</f>
        <v>73.400673400673412</v>
      </c>
      <c r="E34" s="5">
        <f>(0.056+0.35)/2</f>
        <v>0.20299999999999999</v>
      </c>
      <c r="F34" s="5">
        <f>(0.0016+0.0015)/2</f>
        <v>1.5500000000000002E-3</v>
      </c>
      <c r="G34" s="5"/>
      <c r="H34" s="5"/>
      <c r="I34" s="5"/>
      <c r="J34" s="5"/>
    </row>
    <row r="35" spans="1:10" x14ac:dyDescent="0.75">
      <c r="A35" s="5">
        <f>B15*E15*G27*48</f>
        <v>11721.6</v>
      </c>
      <c r="B35" s="5"/>
      <c r="C35" s="8" t="s">
        <v>25</v>
      </c>
      <c r="D35" s="5"/>
      <c r="E35" s="5"/>
      <c r="F35" s="5"/>
      <c r="G35" s="5"/>
      <c r="H35" s="5"/>
      <c r="I35" s="5"/>
      <c r="J35" s="5"/>
    </row>
    <row r="36" spans="1:10" x14ac:dyDescent="0.75">
      <c r="A36" s="5">
        <f>SUM(A34:A35)</f>
        <v>12338.4</v>
      </c>
      <c r="B36" s="5"/>
      <c r="C36" s="5" t="s">
        <v>5</v>
      </c>
      <c r="D36" s="5">
        <f>D33*$A$34*10^-6</f>
        <v>4.5688888888888883E-2</v>
      </c>
      <c r="E36" s="5">
        <f>E33*$A$34*10^-6</f>
        <v>3.6822959999999991E-4</v>
      </c>
      <c r="F36" s="5">
        <f>F33*$A$34*10^-6</f>
        <v>3.5465999999999995E-8</v>
      </c>
      <c r="G36" s="5"/>
      <c r="H36" s="5"/>
      <c r="I36" s="5"/>
      <c r="J36" s="5"/>
    </row>
    <row r="37" spans="1:10" x14ac:dyDescent="0.75">
      <c r="A37" s="5"/>
      <c r="B37" s="5"/>
      <c r="C37" s="5" t="s">
        <v>6</v>
      </c>
      <c r="D37" s="5">
        <f>D34*$A$35*10^-6</f>
        <v>0.86037333333333343</v>
      </c>
      <c r="E37" s="5">
        <f>E34*$A$35*10^-6</f>
        <v>2.3794847999999997E-3</v>
      </c>
      <c r="F37" s="5">
        <f>F34*$A$35*10^-6</f>
        <v>1.8168480000000003E-5</v>
      </c>
      <c r="G37" s="5"/>
      <c r="H37" s="5"/>
      <c r="I37" s="5"/>
      <c r="J37" s="5"/>
    </row>
    <row r="38" spans="1:10" x14ac:dyDescent="0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75">
      <c r="A39" s="5"/>
      <c r="B39" s="5"/>
      <c r="C39" s="5" t="s">
        <v>49</v>
      </c>
      <c r="D39" s="5">
        <f>SUM(D36:D37)</f>
        <v>0.90606222222222232</v>
      </c>
      <c r="E39" s="5">
        <f t="shared" ref="E39:F39" si="1">SUM(E36:E37)</f>
        <v>2.7477143999999998E-3</v>
      </c>
      <c r="F39" s="5">
        <f t="shared" si="1"/>
        <v>1.8203946000000003E-5</v>
      </c>
      <c r="G39" s="5"/>
      <c r="H39" s="5"/>
      <c r="I39" s="5"/>
      <c r="J39" s="5"/>
    </row>
    <row r="40" spans="1:10" x14ac:dyDescent="0.75">
      <c r="A40" s="9"/>
      <c r="B40" s="9"/>
      <c r="C40" s="9"/>
      <c r="D40" s="9"/>
      <c r="E40" s="9"/>
      <c r="F40" s="9"/>
    </row>
    <row r="64" spans="1:6" s="4" customFormat="1" x14ac:dyDescent="0.75">
      <c r="A64"/>
      <c r="B64"/>
      <c r="C64"/>
      <c r="D64"/>
      <c r="E64"/>
      <c r="F64"/>
    </row>
    <row r="65" spans="1:6" x14ac:dyDescent="0.75">
      <c r="A65" s="4"/>
      <c r="B65" s="4"/>
      <c r="C65" s="4"/>
      <c r="D65" s="4"/>
      <c r="E65" s="4"/>
      <c r="F6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75D3-A77C-4BB2-9421-84714B556722}">
  <dimension ref="A1:E6"/>
  <sheetViews>
    <sheetView tabSelected="1" workbookViewId="0">
      <selection activeCell="A7" sqref="A7"/>
    </sheetView>
  </sheetViews>
  <sheetFormatPr defaultRowHeight="14.75" x14ac:dyDescent="0.75"/>
  <sheetData>
    <row r="1" spans="1:5" x14ac:dyDescent="0.75">
      <c r="A1">
        <f>156500</f>
        <v>156500</v>
      </c>
      <c r="B1" t="s">
        <v>70</v>
      </c>
      <c r="C1">
        <v>40</v>
      </c>
      <c r="D1" t="s">
        <v>71</v>
      </c>
      <c r="E1" t="s">
        <v>5</v>
      </c>
    </row>
    <row r="2" spans="1:5" x14ac:dyDescent="0.75">
      <c r="A2">
        <f>C2/C1*A1</f>
        <v>7825</v>
      </c>
      <c r="C2">
        <v>2</v>
      </c>
      <c r="D2" t="s">
        <v>71</v>
      </c>
      <c r="E2" t="s">
        <v>72</v>
      </c>
    </row>
    <row r="4" spans="1:5" x14ac:dyDescent="0.75">
      <c r="A4">
        <v>14800</v>
      </c>
      <c r="B4" t="s">
        <v>70</v>
      </c>
      <c r="D4" t="s">
        <v>6</v>
      </c>
    </row>
    <row r="6" spans="1:5" x14ac:dyDescent="0.75">
      <c r="A6">
        <f>A4+A2</f>
        <v>22625</v>
      </c>
      <c r="D6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0:N27"/>
  <sheetViews>
    <sheetView topLeftCell="A25" workbookViewId="0">
      <selection activeCell="K15" sqref="K15"/>
    </sheetView>
  </sheetViews>
  <sheetFormatPr defaultRowHeight="14.75" x14ac:dyDescent="0.75"/>
  <sheetData>
    <row r="20" spans="1:14" x14ac:dyDescent="0.75">
      <c r="A20" s="6" t="s">
        <v>20</v>
      </c>
    </row>
    <row r="21" spans="1:14" x14ac:dyDescent="0.75">
      <c r="A21" t="s">
        <v>19</v>
      </c>
    </row>
    <row r="22" spans="1:14" x14ac:dyDescent="0.75">
      <c r="A22" t="s">
        <v>10</v>
      </c>
    </row>
    <row r="23" spans="1:14" x14ac:dyDescent="0.75">
      <c r="A23" t="s">
        <v>5</v>
      </c>
    </row>
    <row r="26" spans="1:14" x14ac:dyDescent="0.75">
      <c r="M26" t="s">
        <v>21</v>
      </c>
    </row>
    <row r="27" spans="1:14" x14ac:dyDescent="0.75">
      <c r="M27">
        <f>48*Standards!B16</f>
        <v>2880</v>
      </c>
      <c r="N27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Fuels</vt:lpstr>
      <vt:lpstr>Standards</vt:lpstr>
      <vt:lpstr>Tier 1</vt:lpstr>
      <vt:lpstr>Tier 2</vt:lpstr>
      <vt:lpstr>Tier3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2018-10-12T15:32:47Z</dcterms:created>
  <dcterms:modified xsi:type="dcterms:W3CDTF">2019-11-05T16:23:07Z</dcterms:modified>
</cp:coreProperties>
</file>